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Cashflow" sheetId="1" r:id="rId1"/>
    <sheet name="Income" sheetId="2" r:id="rId2"/>
    <sheet name="Equity" sheetId="3" r:id="rId3"/>
    <sheet name="BalSheet" sheetId="4" r:id="rId4"/>
  </sheets>
  <definedNames>
    <definedName name="_xlnm.Print_Area" localSheetId="3">'BalSheet'!$A$1:$D$51</definedName>
    <definedName name="_xlnm.Print_Area" localSheetId="0">'Cashflow'!$A$1:$H$69</definedName>
    <definedName name="_xlnm.Print_Area" localSheetId="2">'Equity'!$A$1:$I$32</definedName>
    <definedName name="_xlnm.Print_Area" localSheetId="1">'Income'!$A$1:$H$53</definedName>
  </definedNames>
  <calcPr fullCalcOnLoad="1"/>
</workbook>
</file>

<file path=xl/sharedStrings.xml><?xml version="1.0" encoding="utf-8"?>
<sst xmlns="http://schemas.openxmlformats.org/spreadsheetml/2006/main" count="182" uniqueCount="144">
  <si>
    <t xml:space="preserve"> Increase in fixed deposits pledged</t>
  </si>
  <si>
    <t>Current Year</t>
  </si>
  <si>
    <t>Preceding Year</t>
  </si>
  <si>
    <t>31/12/2002</t>
  </si>
  <si>
    <t>31/12/2003</t>
  </si>
  <si>
    <t>Individual Quarter</t>
  </si>
  <si>
    <t>Cumulative Quarter</t>
  </si>
  <si>
    <t xml:space="preserve">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</si>
  <si>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GLOBAL CARRIERS BERHAD</t>
  </si>
  <si>
    <t>Condensed Consolidated Cash Flow Statements</t>
  </si>
  <si>
    <t>Adjustment for non-cash flow:-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</si>
  <si>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</si>
  <si>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</si>
  <si>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</si>
  <si>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</si>
  <si>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</si>
  <si>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</si>
  <si>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</si>
  <si>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</si>
  <si>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</si>
  <si>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</si>
  <si>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</si>
  <si>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</si>
  <si>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Other Operating Income</t>
  </si>
  <si>
    <t>Investing Results</t>
  </si>
  <si>
    <t>Taxation</t>
  </si>
  <si>
    <t>Quarter Ended</t>
  </si>
  <si>
    <t>Unaudited</t>
  </si>
  <si>
    <t>Investment Property</t>
  </si>
  <si>
    <t>Current Assets</t>
  </si>
  <si>
    <t xml:space="preserve">  Cash and Bank Balances</t>
  </si>
  <si>
    <t xml:space="preserve">  Fixed Deposits</t>
  </si>
  <si>
    <t xml:space="preserve">  Tax Recoverable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</si>
  <si>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</si>
  <si>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</si>
  <si>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</si>
  <si>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</si>
  <si>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</si>
  <si>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</si>
  <si>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</si>
  <si>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</si>
  <si>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</si>
  <si>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</si>
  <si>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</si>
  <si>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</si>
  <si>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</si>
  <si>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</si>
  <si>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Profit/(Loss) before tax</t>
  </si>
  <si>
    <t>Profit/(Loss) from Operations</t>
  </si>
  <si>
    <t>Profit/(Loss) after tax</t>
  </si>
  <si>
    <t>Attributable to</t>
  </si>
  <si>
    <t>Property, Plant &amp; Equipment</t>
  </si>
  <si>
    <t xml:space="preserve"> 31 December 2002</t>
  </si>
  <si>
    <t>Cash generated from operations</t>
  </si>
  <si>
    <t>Corresponding</t>
  </si>
  <si>
    <t>Year's</t>
  </si>
  <si>
    <t>Net changes in current assets</t>
  </si>
  <si>
    <t>Net changes in inventories</t>
  </si>
  <si>
    <t>Net changes in current liabilities</t>
  </si>
  <si>
    <t>Net profit / (loss) before tax</t>
  </si>
  <si>
    <t>Operating profit/(loss) before changes in working capital</t>
  </si>
  <si>
    <t>Net changes in cash &amp; cash equivalents</t>
  </si>
  <si>
    <t>Cash &amp; cash equivalents at beginnings of year</t>
  </si>
  <si>
    <t>Cash &amp; cash equivalent at end of year</t>
  </si>
  <si>
    <t>Cash and bank balances</t>
  </si>
  <si>
    <t>Fixed deposits</t>
  </si>
  <si>
    <t>Bank overdrafts</t>
  </si>
  <si>
    <t>Period up to</t>
  </si>
  <si>
    <t>Year Ended</t>
  </si>
  <si>
    <t>Deferred Expenditure</t>
  </si>
  <si>
    <t>EPS - Basic  (Sen)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</si>
  <si>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</si>
  <si>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</si>
  <si>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</si>
  <si>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</si>
  <si>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</si>
  <si>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</si>
  <si>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</si>
  <si>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Additional</t>
  </si>
  <si>
    <t>Note: "RCCPS" - Redeemable Convertible Cumulative Preference Shares</t>
  </si>
  <si>
    <t>Less : Fixed deposits pledged</t>
  </si>
  <si>
    <t>CASH FLOWS FROM FINANCING ACTIVITIES</t>
  </si>
  <si>
    <t>Increase in Share Capital</t>
  </si>
  <si>
    <t>Interest waived under the Restructuring Schemes</t>
  </si>
  <si>
    <t>Interests waived under the Restructuring Schemes</t>
  </si>
  <si>
    <t>Settlement of legal suit under Restructuring Schemes</t>
  </si>
  <si>
    <t>Tax paid</t>
  </si>
  <si>
    <t>*</t>
  </si>
  <si>
    <t>Overdraft settled under the Restructuring Schemes</t>
  </si>
  <si>
    <t>CASH AND CASH EQUIVALENTS COMPRISE:-</t>
  </si>
  <si>
    <t>Note for the adjustment:-</t>
  </si>
  <si>
    <t>Net cash flows from operating activities</t>
  </si>
  <si>
    <t>Condensed Consolidated Statement of Changes in Equity</t>
  </si>
  <si>
    <t>Loss as at 31 December 2002</t>
  </si>
  <si>
    <t>As at 1 January 2002</t>
  </si>
  <si>
    <t>As at 31 December 2002</t>
  </si>
  <si>
    <t>Cumulative Gain for the Period</t>
  </si>
  <si>
    <t xml:space="preserve">   Redeemable Unsecured Loan Stock</t>
  </si>
  <si>
    <t>Shareholders' Funds/(Deficits)</t>
  </si>
  <si>
    <t>Audited</t>
  </si>
  <si>
    <t xml:space="preserve">as at </t>
  </si>
  <si>
    <t>as at</t>
  </si>
  <si>
    <t>Cash &amp; cash equivalents at beginning of year (See note below*)</t>
  </si>
  <si>
    <t>Net Current Assets / (Liabilities)</t>
  </si>
  <si>
    <t xml:space="preserve">Dividend - RCCPS  </t>
  </si>
  <si>
    <t>Profits / (Loss) for the  Quarter / Period</t>
  </si>
  <si>
    <t>Conversion</t>
  </si>
  <si>
    <t xml:space="preserve"> - Settlement of legal suit under Restructuring Schemes</t>
  </si>
  <si>
    <t xml:space="preserve"> - Loss on disposal of vessels</t>
  </si>
  <si>
    <t>Prior Year Adjustment</t>
  </si>
  <si>
    <t>Condensed Consolidated Balance Sheets</t>
  </si>
  <si>
    <t>This quarterly financial report must be read in conjunction with the 2002 Annual Report.</t>
  </si>
  <si>
    <t xml:space="preserve"> 30/09/2002</t>
  </si>
  <si>
    <t>Fixed deposits pledged</t>
  </si>
  <si>
    <t>Issue of Redeemable Unsecured Loan Stock</t>
  </si>
  <si>
    <t xml:space="preserve">   NTA per share</t>
  </si>
  <si>
    <t xml:space="preserve"> - Inventories on diposed vessels written-off</t>
  </si>
  <si>
    <t>Exceptional Items</t>
  </si>
  <si>
    <t xml:space="preserve"> - Deferred expenditure on disposed vessels written-off</t>
  </si>
  <si>
    <t xml:space="preserve"> - Interests waived under Restructuring Schemes</t>
  </si>
  <si>
    <t>Profit/(Loss) before Exceptional Items</t>
  </si>
  <si>
    <t>Deferred expenditure on disposed vessels written-off</t>
  </si>
  <si>
    <t>Payments for dry docking expenses</t>
  </si>
  <si>
    <t>Addition/Purchase of property, plant and equipment</t>
  </si>
  <si>
    <t>Issue of Redeemable Convertible Cumulative Preference Shares</t>
  </si>
  <si>
    <t>Impairment losses    - property, plant &amp; equipment</t>
  </si>
  <si>
    <t>Proceed from disposal of property, plant &amp; equipment</t>
  </si>
  <si>
    <t>Prior year adjustment</t>
  </si>
  <si>
    <t xml:space="preserve"> - Impairment losses  - property, plant &amp; equipment</t>
  </si>
  <si>
    <t xml:space="preserve">                               - investment property</t>
  </si>
  <si>
    <t xml:space="preserve">                                  - investment property</t>
  </si>
  <si>
    <t xml:space="preserve"> - Provision for doubtful debts</t>
  </si>
  <si>
    <t>Interest expenses - RULS</t>
  </si>
  <si>
    <t>Interest expenses - term loan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</si>
  <si>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</si>
  <si>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</si>
  <si>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</si>
  <si>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</si>
  <si>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(Profit)/Loss on disposal of property, plant &amp; equipment</t>
  </si>
  <si>
    <t xml:space="preserve"> 31 December 2003</t>
  </si>
  <si>
    <t>As at 31 December 2003</t>
  </si>
  <si>
    <t>12-month</t>
  </si>
  <si>
    <t xml:space="preserve"> 31 Dec-03</t>
  </si>
  <si>
    <t>for the year ended 31 December 2003</t>
  </si>
</sst>
</file>

<file path=xl/styles.xml><?xml version="1.0" encoding="utf-8"?>
<styleSheet xmlns="http://schemas.openxmlformats.org/spreadsheetml/2006/main">
  <numFmts count="32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43" fontId="1" fillId="0" borderId="0" xfId="15" applyFont="1" applyAlignment="1">
      <alignment horizontal="left"/>
    </xf>
    <xf numFmtId="185" fontId="2" fillId="0" borderId="10" xfId="15" applyNumberFormat="1" applyFont="1" applyBorder="1" applyAlignment="1">
      <alignment/>
    </xf>
    <xf numFmtId="185" fontId="2" fillId="0" borderId="11" xfId="15" applyNumberFormat="1" applyFont="1" applyBorder="1" applyAlignment="1">
      <alignment/>
    </xf>
    <xf numFmtId="185" fontId="2" fillId="0" borderId="12" xfId="15" applyNumberFormat="1" applyFont="1" applyBorder="1" applyAlignment="1">
      <alignment/>
    </xf>
    <xf numFmtId="185" fontId="2" fillId="0" borderId="13" xfId="15" applyNumberFormat="1" applyFont="1" applyBorder="1" applyAlignment="1">
      <alignment/>
    </xf>
    <xf numFmtId="185" fontId="2" fillId="0" borderId="14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5" xfId="15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8"/>
  <sheetViews>
    <sheetView zoomScaleSheetLayoutView="100" workbookViewId="0" topLeftCell="A46">
      <selection activeCell="F49" sqref="F49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47.0039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2:3" ht="12.75">
      <c r="B1" s="30" t="s">
        <v>8</v>
      </c>
      <c r="C1" s="1"/>
    </row>
    <row r="2" spans="2:3" ht="12.75">
      <c r="B2" s="30" t="s">
        <v>9</v>
      </c>
      <c r="C2" s="1"/>
    </row>
    <row r="3" spans="2:7" ht="12.75">
      <c r="B3" s="30"/>
      <c r="C3" s="1"/>
      <c r="D3" s="3" t="s">
        <v>18</v>
      </c>
      <c r="E3" s="3"/>
      <c r="F3" s="3"/>
      <c r="G3" s="3"/>
    </row>
    <row r="4" spans="2:7" ht="12.75">
      <c r="B4" s="30"/>
      <c r="C4" s="1"/>
      <c r="D4" s="3" t="s">
        <v>141</v>
      </c>
      <c r="E4" s="3"/>
      <c r="F4" s="3"/>
      <c r="G4" s="3"/>
    </row>
    <row r="5" spans="2:8" ht="12.75">
      <c r="B5" s="30"/>
      <c r="C5" s="1"/>
      <c r="D5" s="3" t="s">
        <v>67</v>
      </c>
      <c r="E5" s="3"/>
      <c r="F5" s="3" t="s">
        <v>68</v>
      </c>
      <c r="G5" s="3"/>
      <c r="H5" s="3" t="s">
        <v>68</v>
      </c>
    </row>
    <row r="6" spans="2:8" s="1" customFormat="1" ht="12.75">
      <c r="B6" s="30"/>
      <c r="D6" s="24" t="s">
        <v>142</v>
      </c>
      <c r="E6" s="24"/>
      <c r="F6" s="24">
        <v>37621</v>
      </c>
      <c r="G6" s="24"/>
      <c r="H6" s="24">
        <v>37621</v>
      </c>
    </row>
    <row r="7" spans="2:8" s="1" customFormat="1" ht="12.75">
      <c r="B7" s="30"/>
      <c r="D7" s="3" t="s">
        <v>13</v>
      </c>
      <c r="E7" s="3"/>
      <c r="F7" s="3" t="s">
        <v>13</v>
      </c>
      <c r="G7" s="3"/>
      <c r="H7" s="3" t="s">
        <v>13</v>
      </c>
    </row>
    <row r="9" spans="2:8" ht="12.75">
      <c r="B9" s="23" t="s">
        <v>59</v>
      </c>
      <c r="D9" s="5">
        <f>+Income!E42</f>
        <v>36584081</v>
      </c>
      <c r="E9" s="5"/>
      <c r="F9" s="5">
        <v>-59573272</v>
      </c>
      <c r="G9" s="5"/>
      <c r="H9" s="5">
        <v>-59573272</v>
      </c>
    </row>
    <row r="10" spans="4:7" ht="12.75">
      <c r="D10" s="5"/>
      <c r="E10" s="5"/>
      <c r="F10" s="5"/>
      <c r="G10" s="5"/>
    </row>
    <row r="11" spans="2:7" ht="12.75">
      <c r="B11" s="23" t="s">
        <v>10</v>
      </c>
      <c r="D11" s="5"/>
      <c r="E11" s="5"/>
      <c r="F11" s="5"/>
      <c r="G11" s="5"/>
    </row>
    <row r="12" spans="3:8" ht="12.75">
      <c r="C12" s="23" t="s">
        <v>11</v>
      </c>
      <c r="D12" s="5">
        <f>9192214+173</f>
        <v>9192387</v>
      </c>
      <c r="E12" s="5"/>
      <c r="F12" s="5">
        <v>14541180</v>
      </c>
      <c r="G12" s="5"/>
      <c r="H12" s="5">
        <v>14541180</v>
      </c>
    </row>
    <row r="13" spans="3:8" ht="12.75">
      <c r="C13" s="23" t="s">
        <v>125</v>
      </c>
      <c r="D13" s="5">
        <f>-Income!E31</f>
        <v>7595588</v>
      </c>
      <c r="E13" s="5"/>
      <c r="F13" s="5">
        <v>0</v>
      </c>
      <c r="G13" s="5"/>
      <c r="H13" s="5">
        <v>0</v>
      </c>
    </row>
    <row r="14" spans="3:8" ht="12.75">
      <c r="C14" s="23" t="s">
        <v>129</v>
      </c>
      <c r="D14" s="5">
        <f>-Income!E32</f>
        <v>19803935</v>
      </c>
      <c r="E14" s="5"/>
      <c r="F14" s="5">
        <v>0</v>
      </c>
      <c r="G14" s="5"/>
      <c r="H14" s="5">
        <f>+Income!H32</f>
        <v>0</v>
      </c>
    </row>
    <row r="15" spans="3:8" ht="12.75">
      <c r="C15" s="23" t="s">
        <v>12</v>
      </c>
      <c r="D15" s="5">
        <v>7197818</v>
      </c>
      <c r="E15" s="5"/>
      <c r="F15" s="5">
        <v>9245824</v>
      </c>
      <c r="G15" s="5"/>
      <c r="H15" s="5">
        <v>9245824</v>
      </c>
    </row>
    <row r="16" spans="3:8" ht="12.75">
      <c r="C16" s="23" t="s">
        <v>121</v>
      </c>
      <c r="D16" s="5">
        <v>6462815</v>
      </c>
      <c r="E16" s="5"/>
      <c r="F16" s="5">
        <v>0</v>
      </c>
      <c r="G16" s="5"/>
      <c r="H16" s="5">
        <v>0</v>
      </c>
    </row>
    <row r="17" spans="3:8" ht="12.75">
      <c r="C17" s="23" t="s">
        <v>138</v>
      </c>
      <c r="D17" s="5">
        <f>19259719+25718549+14572000</f>
        <v>59550268</v>
      </c>
      <c r="E17" s="5"/>
      <c r="F17" s="5">
        <v>-312000</v>
      </c>
      <c r="G17" s="5"/>
      <c r="H17" s="5">
        <v>-312000</v>
      </c>
    </row>
    <row r="18" spans="3:8" ht="12.75">
      <c r="C18" s="23" t="s">
        <v>133</v>
      </c>
      <c r="D18" s="5">
        <v>2940000</v>
      </c>
      <c r="E18" s="5"/>
      <c r="F18" s="5">
        <v>45281727</v>
      </c>
      <c r="G18" s="20"/>
      <c r="H18" s="5">
        <v>45281727</v>
      </c>
    </row>
    <row r="19" spans="3:8" ht="12.75">
      <c r="C19" s="23" t="s">
        <v>132</v>
      </c>
      <c r="D19" s="5">
        <v>3739344</v>
      </c>
      <c r="E19" s="5"/>
      <c r="F19" s="5">
        <v>0</v>
      </c>
      <c r="G19" s="20"/>
      <c r="H19" s="5"/>
    </row>
    <row r="20" spans="3:8" ht="12.75">
      <c r="C20" s="23" t="s">
        <v>83</v>
      </c>
      <c r="D20" s="5">
        <v>-180124647</v>
      </c>
      <c r="E20" s="5"/>
      <c r="F20" s="5">
        <v>0</v>
      </c>
      <c r="G20" s="20"/>
      <c r="H20" s="5"/>
    </row>
    <row r="21" spans="3:8" ht="12.75">
      <c r="C21" s="23" t="s">
        <v>25</v>
      </c>
      <c r="D21" s="5">
        <f>-Income!E40</f>
        <v>191051</v>
      </c>
      <c r="E21" s="5"/>
      <c r="F21" s="5">
        <v>0</v>
      </c>
      <c r="G21" s="20"/>
      <c r="H21" s="5"/>
    </row>
    <row r="22" spans="3:8" ht="12.75">
      <c r="C22" s="23" t="s">
        <v>85</v>
      </c>
      <c r="D22" s="6">
        <v>30193422</v>
      </c>
      <c r="E22" s="6"/>
      <c r="F22" s="6">
        <v>0</v>
      </c>
      <c r="G22" s="20"/>
      <c r="H22" s="6"/>
    </row>
    <row r="23" spans="2:8" ht="19.5" customHeight="1">
      <c r="B23" s="23" t="s">
        <v>60</v>
      </c>
      <c r="D23" s="20">
        <f>SUM(D9:D22)</f>
        <v>3326062</v>
      </c>
      <c r="E23" s="20"/>
      <c r="F23" s="20">
        <f>SUM(F9:F22)</f>
        <v>9183459</v>
      </c>
      <c r="G23" s="20"/>
      <c r="H23" s="20"/>
    </row>
    <row r="24" spans="4:8" ht="12.75">
      <c r="D24" s="5"/>
      <c r="E24" s="20"/>
      <c r="F24" s="5"/>
      <c r="G24" s="5"/>
      <c r="H24" s="5"/>
    </row>
    <row r="25" spans="2:8" ht="16.5" customHeight="1">
      <c r="B25" s="23" t="s">
        <v>14</v>
      </c>
      <c r="D25" s="5"/>
      <c r="E25" s="20"/>
      <c r="F25" s="5"/>
      <c r="G25" s="5"/>
      <c r="H25" s="5"/>
    </row>
    <row r="26" spans="3:8" ht="15" customHeight="1">
      <c r="C26" s="23" t="s">
        <v>56</v>
      </c>
      <c r="D26" s="5">
        <f>8861888</f>
        <v>8861888</v>
      </c>
      <c r="E26" s="20"/>
      <c r="F26" s="5">
        <v>-10493444</v>
      </c>
      <c r="G26" s="5"/>
      <c r="H26" s="5"/>
    </row>
    <row r="27" spans="3:9" ht="12.75">
      <c r="C27" s="23" t="s">
        <v>57</v>
      </c>
      <c r="D27" s="5">
        <v>2575958</v>
      </c>
      <c r="E27" s="20"/>
      <c r="F27" s="5">
        <v>-1948217</v>
      </c>
      <c r="G27" s="5"/>
      <c r="H27" s="5"/>
      <c r="I27" s="28"/>
    </row>
    <row r="28" spans="3:9" ht="14.25" customHeight="1">
      <c r="C28" s="23" t="s">
        <v>58</v>
      </c>
      <c r="D28" s="6">
        <f>-682629044-5186056-3739344+106957+589408</f>
        <v>-690858079</v>
      </c>
      <c r="E28" s="6"/>
      <c r="F28" s="6">
        <v>9333228</v>
      </c>
      <c r="G28" s="20"/>
      <c r="H28" s="6">
        <f>8709228+312000+312000</f>
        <v>9333228</v>
      </c>
      <c r="I28" s="20"/>
    </row>
    <row r="29" spans="2:9" ht="19.5" customHeight="1">
      <c r="B29" s="23" t="s">
        <v>53</v>
      </c>
      <c r="D29" s="20">
        <f>SUM(D23:D28)</f>
        <v>-676094171</v>
      </c>
      <c r="E29" s="20"/>
      <c r="F29" s="20">
        <f>SUM(F23:F28)</f>
        <v>6075026</v>
      </c>
      <c r="G29" s="20"/>
      <c r="H29" s="20">
        <f>SUM(H23:H28)</f>
        <v>9333228</v>
      </c>
      <c r="I29" s="28"/>
    </row>
    <row r="30" spans="2:9" ht="14.25" customHeight="1">
      <c r="B30" s="23" t="s">
        <v>86</v>
      </c>
      <c r="D30" s="6">
        <v>-227621</v>
      </c>
      <c r="E30" s="6"/>
      <c r="F30" s="6">
        <v>-175733</v>
      </c>
      <c r="G30" s="20"/>
      <c r="H30" s="20">
        <v>-175733</v>
      </c>
      <c r="I30" s="29"/>
    </row>
    <row r="31" spans="2:8" ht="19.5" customHeight="1">
      <c r="B31" s="23" t="s">
        <v>91</v>
      </c>
      <c r="D31" s="21">
        <f>SUM(D29:D30)</f>
        <v>-676321792</v>
      </c>
      <c r="E31" s="21"/>
      <c r="F31" s="21">
        <f>SUM(F29:F30)</f>
        <v>5899293</v>
      </c>
      <c r="G31" s="20"/>
      <c r="H31" s="21">
        <f>SUM(H29:H30)</f>
        <v>9157495</v>
      </c>
    </row>
    <row r="32" spans="4:8" ht="12.75">
      <c r="D32" s="5"/>
      <c r="E32" s="20"/>
      <c r="F32" s="5"/>
      <c r="G32" s="20"/>
      <c r="H32" s="5"/>
    </row>
    <row r="33" spans="2:8" ht="17.25" customHeight="1">
      <c r="B33" s="30" t="s">
        <v>15</v>
      </c>
      <c r="D33" s="5"/>
      <c r="E33" s="20"/>
      <c r="F33" s="5"/>
      <c r="G33" s="20"/>
      <c r="H33" s="5"/>
    </row>
    <row r="34" spans="2:8" ht="12" customHeight="1">
      <c r="B34" s="23" t="s">
        <v>0</v>
      </c>
      <c r="D34" s="5">
        <v>0</v>
      </c>
      <c r="E34" s="20"/>
      <c r="F34" s="5">
        <v>-397027</v>
      </c>
      <c r="G34" s="20"/>
      <c r="H34" s="5"/>
    </row>
    <row r="35" spans="2:9" ht="12.75">
      <c r="B35" s="23" t="s">
        <v>123</v>
      </c>
      <c r="D35" s="5">
        <f>-41680176</f>
        <v>-41680176</v>
      </c>
      <c r="E35" s="20"/>
      <c r="F35" s="5">
        <v>-134084</v>
      </c>
      <c r="G35" s="20"/>
      <c r="H35" s="5">
        <v>-134084</v>
      </c>
      <c r="I35" s="27"/>
    </row>
    <row r="36" spans="2:9" ht="12.75">
      <c r="B36" s="23" t="s">
        <v>126</v>
      </c>
      <c r="D36" s="5">
        <v>66500000</v>
      </c>
      <c r="E36" s="20"/>
      <c r="F36" s="5">
        <v>312000</v>
      </c>
      <c r="G36" s="20"/>
      <c r="H36" s="5">
        <v>312000</v>
      </c>
      <c r="I36" s="27"/>
    </row>
    <row r="37" spans="2:9" ht="14.25" customHeight="1">
      <c r="B37" s="23" t="s">
        <v>122</v>
      </c>
      <c r="D37" s="6">
        <f>-2062823</f>
        <v>-2062823</v>
      </c>
      <c r="E37" s="6"/>
      <c r="F37" s="6">
        <v>-7054286</v>
      </c>
      <c r="G37" s="20"/>
      <c r="H37" s="5">
        <v>-7054286</v>
      </c>
      <c r="I37" s="27"/>
    </row>
    <row r="38" spans="4:8" ht="16.5" customHeight="1">
      <c r="D38" s="21">
        <f>SUM(D35:D37)</f>
        <v>22757001</v>
      </c>
      <c r="E38" s="21"/>
      <c r="F38" s="21">
        <f>SUM(F34:F37)</f>
        <v>-7273397</v>
      </c>
      <c r="G38" s="20"/>
      <c r="H38" s="21">
        <f>SUM(H35:H37)</f>
        <v>-6876370</v>
      </c>
    </row>
    <row r="39" spans="4:8" ht="16.5" customHeight="1">
      <c r="D39" s="20"/>
      <c r="E39" s="20"/>
      <c r="F39" s="20"/>
      <c r="G39" s="20"/>
      <c r="H39" s="20"/>
    </row>
    <row r="40" spans="2:8" ht="16.5" customHeight="1">
      <c r="B40" s="30" t="s">
        <v>81</v>
      </c>
      <c r="D40" s="20"/>
      <c r="E40" s="20"/>
      <c r="F40" s="20"/>
      <c r="G40" s="20"/>
      <c r="H40" s="20"/>
    </row>
    <row r="41" spans="2:8" ht="12.75" customHeight="1">
      <c r="B41" s="23" t="s">
        <v>82</v>
      </c>
      <c r="D41" s="20">
        <v>216579753</v>
      </c>
      <c r="E41" s="20"/>
      <c r="F41" s="20">
        <v>0</v>
      </c>
      <c r="G41" s="20"/>
      <c r="H41" s="20">
        <v>0</v>
      </c>
    </row>
    <row r="42" spans="2:8" ht="12.75" customHeight="1">
      <c r="B42" s="23" t="s">
        <v>124</v>
      </c>
      <c r="D42" s="20">
        <f>113652404+68197111+18941419-6313806</f>
        <v>194477128</v>
      </c>
      <c r="E42" s="20"/>
      <c r="F42" s="20">
        <v>0</v>
      </c>
      <c r="G42" s="20"/>
      <c r="H42" s="20">
        <v>0</v>
      </c>
    </row>
    <row r="43" spans="2:8" ht="12.75" customHeight="1">
      <c r="B43" s="23" t="s">
        <v>114</v>
      </c>
      <c r="D43" s="20">
        <v>160257699</v>
      </c>
      <c r="E43" s="20"/>
      <c r="F43" s="20">
        <v>0</v>
      </c>
      <c r="G43" s="20"/>
      <c r="H43" s="20">
        <v>0</v>
      </c>
    </row>
    <row r="44" spans="2:8" ht="12.75" customHeight="1">
      <c r="B44" s="23" t="s">
        <v>84</v>
      </c>
      <c r="D44" s="20">
        <f>-D20</f>
        <v>180124647</v>
      </c>
      <c r="E44" s="20"/>
      <c r="F44" s="20">
        <v>0</v>
      </c>
      <c r="G44" s="20"/>
      <c r="H44" s="20">
        <v>0</v>
      </c>
    </row>
    <row r="45" spans="2:8" ht="12.75" customHeight="1">
      <c r="B45" s="23" t="s">
        <v>133</v>
      </c>
      <c r="D45" s="20">
        <v>-2940000</v>
      </c>
      <c r="E45" s="20"/>
      <c r="F45" s="20">
        <v>0</v>
      </c>
      <c r="G45" s="20"/>
      <c r="H45" s="20">
        <v>0</v>
      </c>
    </row>
    <row r="46" spans="2:8" ht="12.75" customHeight="1">
      <c r="B46" s="23" t="s">
        <v>85</v>
      </c>
      <c r="D46" s="6">
        <v>-30193422</v>
      </c>
      <c r="E46" s="6"/>
      <c r="F46" s="6">
        <v>0</v>
      </c>
      <c r="G46" s="20"/>
      <c r="H46" s="20">
        <v>0</v>
      </c>
    </row>
    <row r="47" spans="4:8" ht="16.5" customHeight="1">
      <c r="D47" s="21">
        <f>SUM(D41:D46)</f>
        <v>718305805</v>
      </c>
      <c r="E47" s="21"/>
      <c r="F47" s="21">
        <f>SUM(F41:F46)</f>
        <v>0</v>
      </c>
      <c r="G47" s="20"/>
      <c r="H47" s="21">
        <f>SUM(H41:H46)</f>
        <v>0</v>
      </c>
    </row>
    <row r="48" spans="4:8" ht="16.5" customHeight="1">
      <c r="D48" s="20">
        <v>0</v>
      </c>
      <c r="E48" s="20"/>
      <c r="F48" s="20"/>
      <c r="G48" s="20"/>
      <c r="H48" s="20"/>
    </row>
    <row r="49" spans="2:8" ht="17.25" customHeight="1">
      <c r="B49" s="30" t="s">
        <v>16</v>
      </c>
      <c r="D49" s="5"/>
      <c r="E49" s="20"/>
      <c r="F49" s="5"/>
      <c r="G49" s="20"/>
      <c r="H49" s="5"/>
    </row>
    <row r="50" spans="2:8" ht="12.75">
      <c r="B50" s="23" t="s">
        <v>61</v>
      </c>
      <c r="D50" s="5">
        <f>D31+D38+D47</f>
        <v>64741014</v>
      </c>
      <c r="E50" s="20"/>
      <c r="F50" s="5">
        <v>-1374104</v>
      </c>
      <c r="G50" s="20"/>
      <c r="H50" s="5">
        <f>H31+H38+H47</f>
        <v>2281125</v>
      </c>
    </row>
    <row r="51" spans="2:8" ht="12.75">
      <c r="B51" s="23" t="s">
        <v>102</v>
      </c>
      <c r="D51" s="6">
        <f>+D67</f>
        <v>20995343</v>
      </c>
      <c r="E51" s="6"/>
      <c r="F51" s="6">
        <v>-3326944</v>
      </c>
      <c r="G51" s="20"/>
      <c r="H51" s="5">
        <v>-3326944</v>
      </c>
    </row>
    <row r="52" spans="2:8" ht="21.75" customHeight="1" thickBot="1">
      <c r="B52" s="23" t="s">
        <v>63</v>
      </c>
      <c r="D52" s="10">
        <f>SUM(D50:D51)</f>
        <v>85736357</v>
      </c>
      <c r="E52" s="10"/>
      <c r="F52" s="10">
        <f>SUM(F50:F51)</f>
        <v>-4701048</v>
      </c>
      <c r="G52" s="20"/>
      <c r="H52" s="10">
        <f>SUM(H50:H51)</f>
        <v>-1045819</v>
      </c>
    </row>
    <row r="53" spans="4:8" ht="13.5" thickTop="1">
      <c r="D53" s="5"/>
      <c r="E53" s="20"/>
      <c r="F53" s="5"/>
      <c r="G53" s="5"/>
      <c r="H53" s="5"/>
    </row>
    <row r="54" spans="4:8" ht="12.75">
      <c r="D54" s="5"/>
      <c r="E54" s="20"/>
      <c r="F54" s="5"/>
      <c r="G54" s="5"/>
      <c r="H54" s="5"/>
    </row>
    <row r="55" spans="2:8" ht="17.25" customHeight="1">
      <c r="B55" s="30" t="s">
        <v>89</v>
      </c>
      <c r="D55" s="5"/>
      <c r="E55" s="20"/>
      <c r="F55" s="5"/>
      <c r="G55" s="5"/>
      <c r="H55" s="5"/>
    </row>
    <row r="56" spans="2:9" ht="12.75" customHeight="1">
      <c r="B56" s="23" t="s">
        <v>64</v>
      </c>
      <c r="D56" s="5">
        <f>+BalSheet!C17</f>
        <v>33373986</v>
      </c>
      <c r="E56" s="20"/>
      <c r="F56" s="5">
        <v>3563029</v>
      </c>
      <c r="G56" s="5"/>
      <c r="H56" s="5">
        <v>3563029</v>
      </c>
      <c r="I56" s="27"/>
    </row>
    <row r="57" spans="2:9" ht="12.75">
      <c r="B57" s="23" t="s">
        <v>65</v>
      </c>
      <c r="D57" s="5">
        <f>+BalSheet!C18</f>
        <v>52362371</v>
      </c>
      <c r="E57" s="20"/>
      <c r="F57" s="5">
        <v>18766281</v>
      </c>
      <c r="G57" s="5"/>
      <c r="H57" s="5">
        <v>18766281</v>
      </c>
      <c r="I57" s="27"/>
    </row>
    <row r="58" spans="2:9" ht="12.75">
      <c r="B58" s="23" t="s">
        <v>66</v>
      </c>
      <c r="D58" s="6">
        <v>0</v>
      </c>
      <c r="E58" s="6"/>
      <c r="F58" s="6">
        <v>-10559781</v>
      </c>
      <c r="G58" s="20"/>
      <c r="H58" s="6">
        <v>-10559781</v>
      </c>
      <c r="I58" s="27"/>
    </row>
    <row r="59" spans="3:8" ht="17.25" customHeight="1">
      <c r="C59" s="27"/>
      <c r="D59" s="20">
        <f>SUM(D56:D58)</f>
        <v>85736357</v>
      </c>
      <c r="E59" s="20"/>
      <c r="F59" s="20">
        <f>SUM(F56:F58)</f>
        <v>11769529</v>
      </c>
      <c r="G59" s="20"/>
      <c r="H59" s="20">
        <f>SUM(H56:H58)</f>
        <v>11769529</v>
      </c>
    </row>
    <row r="60" spans="2:8" ht="17.25" customHeight="1">
      <c r="B60" s="23" t="s">
        <v>80</v>
      </c>
      <c r="D60" s="6">
        <v>0</v>
      </c>
      <c r="E60" s="6"/>
      <c r="F60" s="6">
        <v>-16470577</v>
      </c>
      <c r="G60" s="20"/>
      <c r="H60" s="20">
        <v>-16470577</v>
      </c>
    </row>
    <row r="61" spans="2:8" ht="18.75" customHeight="1" thickBot="1">
      <c r="B61" s="31"/>
      <c r="D61" s="10">
        <f>SUM(D59:D60)</f>
        <v>85736357</v>
      </c>
      <c r="E61" s="10"/>
      <c r="F61" s="10">
        <f>SUM(F59:F60)</f>
        <v>-4701048</v>
      </c>
      <c r="G61" s="20"/>
      <c r="H61" s="25">
        <f>SUM(H59:H60)</f>
        <v>-4701048</v>
      </c>
    </row>
    <row r="62" spans="2:8" ht="17.25" customHeight="1" thickTop="1">
      <c r="B62" s="23" t="s">
        <v>87</v>
      </c>
      <c r="C62" s="30" t="s">
        <v>90</v>
      </c>
      <c r="D62" s="5"/>
      <c r="E62" s="20"/>
      <c r="F62" s="5"/>
      <c r="G62" s="5"/>
      <c r="H62" s="27"/>
    </row>
    <row r="63" spans="3:7" ht="12.75">
      <c r="C63" s="23" t="s">
        <v>62</v>
      </c>
      <c r="D63" s="5">
        <f>+H61</f>
        <v>-4701048</v>
      </c>
      <c r="E63" s="5"/>
      <c r="F63" s="5"/>
      <c r="G63" s="5"/>
    </row>
    <row r="64" spans="3:7" ht="12.75">
      <c r="C64" s="23" t="s">
        <v>88</v>
      </c>
      <c r="D64" s="5">
        <v>10559781</v>
      </c>
      <c r="E64" s="5"/>
      <c r="F64" s="5"/>
      <c r="G64" s="5"/>
    </row>
    <row r="65" spans="3:7" ht="12.75">
      <c r="C65" s="23" t="s">
        <v>113</v>
      </c>
      <c r="D65" s="5">
        <v>16470577</v>
      </c>
      <c r="E65" s="5"/>
      <c r="F65" s="5"/>
      <c r="G65" s="5"/>
    </row>
    <row r="66" spans="3:7" ht="12.75">
      <c r="C66" s="23" t="s">
        <v>127</v>
      </c>
      <c r="D66" s="5">
        <v>-1333967</v>
      </c>
      <c r="E66" s="5"/>
      <c r="F66" s="5"/>
      <c r="G66" s="5"/>
    </row>
    <row r="67" spans="4:7" ht="13.5" thickBot="1">
      <c r="D67" s="10">
        <f>SUM(D63:D66)</f>
        <v>20995343</v>
      </c>
      <c r="E67" s="20"/>
      <c r="F67" s="20"/>
      <c r="G67" s="20"/>
    </row>
    <row r="68" spans="4:7" ht="13.5" thickTop="1">
      <c r="D68" s="5"/>
      <c r="E68" s="5"/>
      <c r="F68" s="5"/>
      <c r="G68" s="5"/>
    </row>
    <row r="69" spans="2:7" ht="12.75">
      <c r="B69" s="23" t="s">
        <v>111</v>
      </c>
      <c r="D69" s="5"/>
      <c r="E69" s="5"/>
      <c r="F69" s="5"/>
      <c r="G69" s="5"/>
    </row>
    <row r="70" spans="4:7" ht="12.75">
      <c r="D70" s="5"/>
      <c r="E70" s="5"/>
      <c r="F70" s="5"/>
      <c r="G70" s="5"/>
    </row>
    <row r="71" spans="4:7" ht="12.75">
      <c r="D71" s="5"/>
      <c r="E71" s="5"/>
      <c r="F71" s="5"/>
      <c r="G71" s="5"/>
    </row>
    <row r="72" spans="4:7" ht="12.75">
      <c r="D72" s="5"/>
      <c r="E72" s="5"/>
      <c r="F72" s="5"/>
      <c r="G72" s="5"/>
    </row>
    <row r="73" spans="4:7" ht="12.75">
      <c r="D73" s="5"/>
      <c r="E73" s="5"/>
      <c r="F73" s="5"/>
      <c r="G73" s="5"/>
    </row>
    <row r="74" spans="4:7" ht="12.75">
      <c r="D74" s="5"/>
      <c r="E74" s="5"/>
      <c r="F74" s="5"/>
      <c r="G74" s="5"/>
    </row>
    <row r="75" spans="4:7" ht="12.75">
      <c r="D75" s="5"/>
      <c r="E75" s="5"/>
      <c r="F75" s="5"/>
      <c r="G75" s="5"/>
    </row>
    <row r="76" spans="4:7" ht="12.75">
      <c r="D76" s="5"/>
      <c r="E76" s="5"/>
      <c r="F76" s="5"/>
      <c r="G76" s="5"/>
    </row>
    <row r="77" spans="4:7" ht="12.75">
      <c r="D77" s="5"/>
      <c r="E77" s="5"/>
      <c r="F77" s="5"/>
      <c r="G77" s="5"/>
    </row>
    <row r="78" spans="4:7" ht="12.75">
      <c r="D78" s="5"/>
      <c r="E78" s="5"/>
      <c r="F78" s="5"/>
      <c r="G78" s="5"/>
    </row>
  </sheetData>
  <printOptions/>
  <pageMargins left="0.75" right="0.75" top="1" bottom="0.48" header="0.5" footer="0.39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1"/>
  <sheetViews>
    <sheetView view="pageBreakPreview" zoomScaleSheetLayoutView="100" workbookViewId="0" topLeftCell="B35">
      <selection activeCell="E48" sqref="E48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8</v>
      </c>
      <c r="C2" s="1"/>
      <c r="D2" s="1"/>
      <c r="E2" s="1"/>
      <c r="F2" s="1"/>
    </row>
    <row r="3" spans="2:10" ht="12.75">
      <c r="B3" s="1" t="s">
        <v>17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41" t="s">
        <v>5</v>
      </c>
      <c r="D5" s="41"/>
      <c r="E5" s="41" t="s">
        <v>6</v>
      </c>
      <c r="F5" s="41"/>
      <c r="G5" s="3" t="s">
        <v>19</v>
      </c>
      <c r="H5" s="3" t="s">
        <v>19</v>
      </c>
    </row>
    <row r="6" spans="3:8" ht="12.75">
      <c r="C6" s="3"/>
      <c r="D6" s="3" t="s">
        <v>2</v>
      </c>
      <c r="E6" s="3"/>
      <c r="F6" s="3" t="s">
        <v>2</v>
      </c>
      <c r="G6" s="3" t="s">
        <v>55</v>
      </c>
      <c r="H6" s="3" t="s">
        <v>55</v>
      </c>
    </row>
    <row r="7" spans="3:8" ht="12.75">
      <c r="C7" s="3" t="s">
        <v>1</v>
      </c>
      <c r="D7" s="3" t="s">
        <v>54</v>
      </c>
      <c r="E7" s="3" t="s">
        <v>141</v>
      </c>
      <c r="F7" s="3" t="s">
        <v>54</v>
      </c>
      <c r="G7" s="3" t="s">
        <v>54</v>
      </c>
      <c r="H7" s="3" t="s">
        <v>20</v>
      </c>
    </row>
    <row r="8" spans="3:8" ht="12.75">
      <c r="C8" s="3" t="s">
        <v>26</v>
      </c>
      <c r="D8" s="3" t="s">
        <v>26</v>
      </c>
      <c r="E8" s="3" t="s">
        <v>67</v>
      </c>
      <c r="F8" s="3" t="s">
        <v>67</v>
      </c>
      <c r="G8" s="3" t="s">
        <v>26</v>
      </c>
      <c r="H8" s="3" t="s">
        <v>67</v>
      </c>
    </row>
    <row r="9" spans="3:8" ht="12.75">
      <c r="C9" s="3" t="s">
        <v>4</v>
      </c>
      <c r="D9" s="3" t="s">
        <v>3</v>
      </c>
      <c r="E9" s="3" t="s">
        <v>4</v>
      </c>
      <c r="F9" s="3" t="s">
        <v>3</v>
      </c>
      <c r="G9" s="4" t="s">
        <v>112</v>
      </c>
      <c r="H9" s="4" t="s">
        <v>112</v>
      </c>
    </row>
    <row r="10" ht="12.75">
      <c r="G10" s="3"/>
    </row>
    <row r="11" spans="3:8" ht="12.75">
      <c r="C11" s="3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12" spans="7:8" ht="12.75">
      <c r="G12" s="5"/>
      <c r="H12" s="5"/>
    </row>
    <row r="13" spans="2:8" ht="12.75">
      <c r="B13" s="2" t="s">
        <v>21</v>
      </c>
      <c r="C13" s="5">
        <f>E13-69761098</f>
        <v>20180034</v>
      </c>
      <c r="D13" s="5">
        <f>F13-56910764</f>
        <v>22849694</v>
      </c>
      <c r="E13" s="5">
        <v>89941132</v>
      </c>
      <c r="F13" s="5">
        <v>79760458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22</v>
      </c>
      <c r="C15" s="5">
        <f>E15+63203595</f>
        <v>-21647487</v>
      </c>
      <c r="D15" s="5">
        <f>F15+66491010</f>
        <v>-28018325</v>
      </c>
      <c r="E15" s="5">
        <f>-84221746+40141+80523-750000</f>
        <v>-84851082</v>
      </c>
      <c r="F15" s="5">
        <v>-94509335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23</v>
      </c>
      <c r="C17" s="6">
        <v>0</v>
      </c>
      <c r="D17" s="6"/>
      <c r="E17" s="6">
        <v>0</v>
      </c>
      <c r="F17" s="6">
        <v>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48</v>
      </c>
      <c r="C19" s="5">
        <f>SUM(C13:C17)</f>
        <v>-1467453</v>
      </c>
      <c r="D19" s="5">
        <f>SUM(D13:D17)</f>
        <v>-5168631</v>
      </c>
      <c r="E19" s="5">
        <f>SUM(E13:E17)</f>
        <v>5090050</v>
      </c>
      <c r="F19" s="5">
        <f>SUM(F13:F17)</f>
        <v>-14748877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46</v>
      </c>
      <c r="C21" s="5">
        <f>E21+4586768</f>
        <v>-2092576</v>
      </c>
      <c r="D21" s="5">
        <f>F21+32957270</f>
        <v>-12324457</v>
      </c>
      <c r="E21" s="5">
        <v>-6679344</v>
      </c>
      <c r="F21" s="5">
        <v>-45281727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24</v>
      </c>
      <c r="C23" s="6">
        <f>E23-33788</f>
        <v>663538</v>
      </c>
      <c r="D23" s="6">
        <f>F23-38886</f>
        <v>418446</v>
      </c>
      <c r="E23" s="6">
        <v>697326</v>
      </c>
      <c r="F23" s="6">
        <v>457332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120</v>
      </c>
      <c r="C25" s="5">
        <f>SUM(C18:C23)</f>
        <v>-2896491</v>
      </c>
      <c r="D25" s="5">
        <f>SUM(D18:D23)</f>
        <v>-17074642</v>
      </c>
      <c r="E25" s="5">
        <f>SUM(E18:E23)</f>
        <v>-891968</v>
      </c>
      <c r="F25" s="5">
        <f>SUM(F18:F23)</f>
        <v>-59573272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117</v>
      </c>
      <c r="C27" s="5"/>
      <c r="D27" s="5"/>
      <c r="E27" s="5"/>
      <c r="F27" s="5"/>
      <c r="G27" s="6"/>
      <c r="H27" s="6"/>
    </row>
    <row r="28" spans="2:8" ht="12.75">
      <c r="B28" s="2" t="s">
        <v>119</v>
      </c>
      <c r="C28" s="13">
        <f>E28-180124647</f>
        <v>0</v>
      </c>
      <c r="D28" s="33">
        <v>0</v>
      </c>
      <c r="E28" s="33">
        <v>180124647</v>
      </c>
      <c r="F28" s="34">
        <v>0</v>
      </c>
      <c r="G28" s="33">
        <v>0</v>
      </c>
      <c r="H28" s="34">
        <v>0</v>
      </c>
    </row>
    <row r="29" spans="2:8" ht="12.75">
      <c r="B29" s="2" t="s">
        <v>107</v>
      </c>
      <c r="C29" s="15">
        <f>E29+30193422</f>
        <v>0</v>
      </c>
      <c r="D29" s="20">
        <v>0</v>
      </c>
      <c r="E29" s="20">
        <v>-30193422</v>
      </c>
      <c r="F29" s="35">
        <v>0</v>
      </c>
      <c r="G29" s="20">
        <v>0</v>
      </c>
      <c r="H29" s="35">
        <v>0</v>
      </c>
    </row>
    <row r="30" spans="2:8" ht="12.75">
      <c r="B30" s="2" t="s">
        <v>108</v>
      </c>
      <c r="C30" s="15">
        <f>E30+21393799</f>
        <v>-42737647</v>
      </c>
      <c r="D30" s="20">
        <v>0</v>
      </c>
      <c r="E30" s="20">
        <f>-23840897-25718549-14572000</f>
        <v>-64131446</v>
      </c>
      <c r="F30" s="35">
        <v>0</v>
      </c>
      <c r="G30" s="20">
        <v>0</v>
      </c>
      <c r="H30" s="35">
        <v>0</v>
      </c>
    </row>
    <row r="31" spans="2:8" ht="12.75">
      <c r="B31" s="2" t="s">
        <v>128</v>
      </c>
      <c r="C31" s="15">
        <f>E31+47886137</f>
        <v>40290549</v>
      </c>
      <c r="D31" s="20">
        <v>0</v>
      </c>
      <c r="E31" s="20">
        <f>-47886137+25718549+14572000</f>
        <v>-7595588</v>
      </c>
      <c r="F31" s="35">
        <v>0</v>
      </c>
      <c r="G31" s="20">
        <v>0</v>
      </c>
      <c r="H31" s="35">
        <v>0</v>
      </c>
    </row>
    <row r="32" spans="2:8" ht="12.75">
      <c r="B32" s="2" t="s">
        <v>130</v>
      </c>
      <c r="C32" s="15">
        <f>E32+24803935</f>
        <v>5000000</v>
      </c>
      <c r="D32" s="20">
        <v>0</v>
      </c>
      <c r="E32" s="20">
        <f>-20553935+750000</f>
        <v>-19803935</v>
      </c>
      <c r="F32" s="35">
        <v>0</v>
      </c>
      <c r="G32" s="20">
        <v>0</v>
      </c>
      <c r="H32" s="35">
        <v>0</v>
      </c>
    </row>
    <row r="33" spans="2:8" ht="12.75">
      <c r="B33" s="2" t="s">
        <v>131</v>
      </c>
      <c r="C33" s="15">
        <f>E33+9417717</f>
        <v>100248</v>
      </c>
      <c r="D33" s="20">
        <v>0</v>
      </c>
      <c r="E33" s="20">
        <v>-9317469</v>
      </c>
      <c r="F33" s="35">
        <v>0</v>
      </c>
      <c r="G33" s="20">
        <v>0</v>
      </c>
      <c r="H33" s="35">
        <v>0</v>
      </c>
    </row>
    <row r="34" spans="2:8" ht="12.75">
      <c r="B34" s="2" t="s">
        <v>118</v>
      </c>
      <c r="C34" s="15">
        <f>E34+6462815</f>
        <v>-2238665</v>
      </c>
      <c r="D34" s="20">
        <v>0</v>
      </c>
      <c r="E34" s="20">
        <v>-8701480</v>
      </c>
      <c r="F34" s="35">
        <v>0</v>
      </c>
      <c r="G34" s="20">
        <v>0</v>
      </c>
      <c r="H34" s="35">
        <v>0</v>
      </c>
    </row>
    <row r="35" spans="2:8" ht="12.75" customHeight="1">
      <c r="B35" s="2" t="s">
        <v>116</v>
      </c>
      <c r="C35" s="36">
        <f>E35+2714207</f>
        <v>0</v>
      </c>
      <c r="D35" s="6">
        <v>0</v>
      </c>
      <c r="E35" s="6">
        <v>-2714207</v>
      </c>
      <c r="F35" s="37">
        <v>0</v>
      </c>
      <c r="G35" s="6">
        <v>0</v>
      </c>
      <c r="H35" s="37">
        <v>0</v>
      </c>
    </row>
    <row r="36" spans="3:8" ht="15.75" customHeight="1">
      <c r="C36" s="5">
        <f aca="true" t="shared" si="0" ref="C36:H36">SUM(C28:C35)</f>
        <v>414485</v>
      </c>
      <c r="D36" s="5">
        <f t="shared" si="0"/>
        <v>0</v>
      </c>
      <c r="E36" s="5">
        <f t="shared" si="0"/>
        <v>37667100</v>
      </c>
      <c r="F36" s="5">
        <f t="shared" si="0"/>
        <v>0</v>
      </c>
      <c r="G36" s="20">
        <f t="shared" si="0"/>
        <v>0</v>
      </c>
      <c r="H36" s="20">
        <f t="shared" si="0"/>
        <v>0</v>
      </c>
    </row>
    <row r="37" spans="3:8" ht="12.75">
      <c r="C37" s="6"/>
      <c r="D37" s="6"/>
      <c r="E37" s="6"/>
      <c r="F37" s="6"/>
      <c r="G37" s="5"/>
      <c r="H37" s="5"/>
    </row>
    <row r="38" spans="2:8" ht="12.75">
      <c r="B38" s="2" t="s">
        <v>47</v>
      </c>
      <c r="C38" s="5">
        <f aca="true" t="shared" si="1" ref="C38:H38">C25+C36</f>
        <v>-2482006</v>
      </c>
      <c r="D38" s="5">
        <f t="shared" si="1"/>
        <v>-17074642</v>
      </c>
      <c r="E38" s="5">
        <f t="shared" si="1"/>
        <v>36775132</v>
      </c>
      <c r="F38" s="5">
        <f t="shared" si="1"/>
        <v>-59573272</v>
      </c>
      <c r="G38" s="5">
        <f t="shared" si="1"/>
        <v>-11737179</v>
      </c>
      <c r="H38" s="5">
        <f t="shared" si="1"/>
        <v>-42498631</v>
      </c>
    </row>
    <row r="39" spans="3:8" ht="12.75">
      <c r="C39" s="5"/>
      <c r="D39" s="5"/>
      <c r="E39" s="5"/>
      <c r="F39" s="5"/>
      <c r="G39" s="5"/>
      <c r="H39" s="5"/>
    </row>
    <row r="40" spans="2:8" ht="12.75">
      <c r="B40" s="2" t="s">
        <v>25</v>
      </c>
      <c r="C40" s="6">
        <f>E40</f>
        <v>-191051</v>
      </c>
      <c r="D40" s="6">
        <v>0</v>
      </c>
      <c r="E40" s="6">
        <f>-199800-80523+89272</f>
        <v>-191051</v>
      </c>
      <c r="F40" s="6">
        <v>0</v>
      </c>
      <c r="G40" s="6">
        <v>0</v>
      </c>
      <c r="H40" s="6">
        <v>0</v>
      </c>
    </row>
    <row r="41" spans="3:8" ht="12.75">
      <c r="C41" s="5"/>
      <c r="D41" s="5"/>
      <c r="E41" s="5"/>
      <c r="F41" s="5"/>
      <c r="G41" s="5"/>
      <c r="H41" s="5"/>
    </row>
    <row r="42" spans="2:8" ht="12.75">
      <c r="B42" s="2" t="s">
        <v>49</v>
      </c>
      <c r="C42" s="5">
        <f aca="true" t="shared" si="2" ref="C42:H42">SUM(C38:C40)</f>
        <v>-2673057</v>
      </c>
      <c r="D42" s="5">
        <f t="shared" si="2"/>
        <v>-17074642</v>
      </c>
      <c r="E42" s="5">
        <f t="shared" si="2"/>
        <v>36584081</v>
      </c>
      <c r="F42" s="5">
        <f t="shared" si="2"/>
        <v>-59573272</v>
      </c>
      <c r="G42" s="20">
        <f t="shared" si="2"/>
        <v>-11737179</v>
      </c>
      <c r="H42" s="20">
        <f t="shared" si="2"/>
        <v>-42498631</v>
      </c>
    </row>
    <row r="43" spans="3:8" ht="12.75">
      <c r="C43" s="5"/>
      <c r="D43" s="5"/>
      <c r="E43" s="5"/>
      <c r="F43" s="5"/>
      <c r="G43" s="5"/>
      <c r="H43" s="5"/>
    </row>
    <row r="44" spans="2:8" ht="12.75">
      <c r="B44" s="2" t="s">
        <v>104</v>
      </c>
      <c r="C44" s="20">
        <f>E44+3346515</f>
        <v>-1839541</v>
      </c>
      <c r="D44" s="20">
        <v>0</v>
      </c>
      <c r="E44" s="20">
        <v>-5186056</v>
      </c>
      <c r="F44" s="20">
        <v>0</v>
      </c>
      <c r="G44" s="5">
        <v>0</v>
      </c>
      <c r="H44" s="5">
        <v>0</v>
      </c>
    </row>
    <row r="45" spans="3:8" ht="12.75">
      <c r="C45" s="6"/>
      <c r="D45" s="6"/>
      <c r="E45" s="6"/>
      <c r="F45" s="6"/>
      <c r="G45" s="5"/>
      <c r="H45" s="5"/>
    </row>
    <row r="46" spans="2:8" ht="21" customHeight="1" thickBot="1">
      <c r="B46" s="2" t="s">
        <v>105</v>
      </c>
      <c r="C46" s="40">
        <f aca="true" t="shared" si="3" ref="C46:H46">SUM(C42:C44)</f>
        <v>-4512598</v>
      </c>
      <c r="D46" s="40">
        <f t="shared" si="3"/>
        <v>-17074642</v>
      </c>
      <c r="E46" s="40">
        <f t="shared" si="3"/>
        <v>31398025</v>
      </c>
      <c r="F46" s="40">
        <f t="shared" si="3"/>
        <v>-59573272</v>
      </c>
      <c r="G46" s="10">
        <f t="shared" si="3"/>
        <v>-11737179</v>
      </c>
      <c r="H46" s="10">
        <f t="shared" si="3"/>
        <v>-42498631</v>
      </c>
    </row>
    <row r="47" spans="3:8" ht="13.5" thickTop="1">
      <c r="C47" s="5"/>
      <c r="D47" s="5"/>
      <c r="E47" s="5"/>
      <c r="F47" s="5"/>
      <c r="G47" s="5"/>
      <c r="H47" s="5"/>
    </row>
    <row r="48" spans="2:8" ht="12.75">
      <c r="B48" s="2" t="s">
        <v>70</v>
      </c>
      <c r="C48" s="22">
        <f>+C46/BalSheet!$C$38*100</f>
        <v>-1.907432052373747</v>
      </c>
      <c r="D48" s="22">
        <f>+D46/BalSheet!$D$38*100</f>
        <v>-85.37321853732185</v>
      </c>
      <c r="E48" s="22">
        <f>+E46/BalSheet!$C$38*100</f>
        <v>13.271645129087991</v>
      </c>
      <c r="F48" s="22">
        <f>+F46/BalSheet!$D$38*100</f>
        <v>-297.866389786639</v>
      </c>
      <c r="G48" s="23">
        <f>G42/19999998*100</f>
        <v>-58.68590086859009</v>
      </c>
      <c r="H48" s="23">
        <f>H42/19999998*100</f>
        <v>-212.49317624931763</v>
      </c>
    </row>
    <row r="49" spans="2:8" ht="12.75">
      <c r="B49" s="2" t="s">
        <v>71</v>
      </c>
      <c r="C49" s="23">
        <f>+C42/BalSheet!$C$42*100</f>
        <v>-0.6201170031669997</v>
      </c>
      <c r="D49" s="23">
        <v>0</v>
      </c>
      <c r="E49" s="23">
        <f>+E42/BalSheet!$C$42*100</f>
        <v>8.48706581017119</v>
      </c>
      <c r="F49" s="23">
        <v>0</v>
      </c>
      <c r="G49" s="23">
        <v>0</v>
      </c>
      <c r="H49" s="23">
        <v>0</v>
      </c>
    </row>
    <row r="50" spans="3:8" ht="12.75">
      <c r="C50" s="23"/>
      <c r="D50" s="23"/>
      <c r="E50" s="23"/>
      <c r="F50" s="23"/>
      <c r="G50" s="5"/>
      <c r="H50" s="5"/>
    </row>
    <row r="51" spans="7:8" ht="12.75">
      <c r="G51" s="5"/>
      <c r="H51" s="5"/>
    </row>
    <row r="52" spans="2:8" ht="12.75">
      <c r="B52" s="7"/>
      <c r="C52" s="7"/>
      <c r="D52" s="7"/>
      <c r="E52" s="7"/>
      <c r="F52" s="7"/>
      <c r="G52" s="5"/>
      <c r="H52" s="5"/>
    </row>
    <row r="53" spans="2:8" ht="12.75">
      <c r="B53" s="2" t="s">
        <v>111</v>
      </c>
      <c r="G53" s="5"/>
      <c r="H53" s="5"/>
    </row>
    <row r="54" spans="7:8" ht="12.75">
      <c r="G54" s="5"/>
      <c r="H54" s="5"/>
    </row>
    <row r="55" spans="7:8" ht="12.75">
      <c r="G55" s="5"/>
      <c r="H55" s="5"/>
    </row>
    <row r="56" spans="7:8" ht="12.75">
      <c r="G56" s="5"/>
      <c r="H56" s="5"/>
    </row>
    <row r="57" spans="7:8" ht="12.75">
      <c r="G57" s="5"/>
      <c r="H57" s="5"/>
    </row>
    <row r="58" spans="7:8" ht="12.75">
      <c r="G58" s="5"/>
      <c r="H58" s="5"/>
    </row>
    <row r="59" spans="7:8" ht="12.75">
      <c r="G59" s="5"/>
      <c r="H59" s="5"/>
    </row>
    <row r="60" spans="7:8" ht="12.75">
      <c r="G60" s="5"/>
      <c r="H60" s="5"/>
    </row>
    <row r="61" spans="7:8" ht="12.75">
      <c r="G61" s="5"/>
      <c r="H61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I38"/>
  <sheetViews>
    <sheetView zoomScaleSheetLayoutView="75" workbookViewId="0" topLeftCell="A7">
      <selection activeCell="H23" sqref="H23"/>
    </sheetView>
  </sheetViews>
  <sheetFormatPr defaultColWidth="9.140625" defaultRowHeight="12.75"/>
  <cols>
    <col min="1" max="1" width="4.57421875" style="2" customWidth="1"/>
    <col min="2" max="2" width="30.140625" style="2" customWidth="1"/>
    <col min="3" max="3" width="12.28125" style="2" customWidth="1"/>
    <col min="4" max="4" width="14.7109375" style="2" customWidth="1"/>
    <col min="5" max="5" width="12.28125" style="2" customWidth="1"/>
    <col min="6" max="6" width="11.8515625" style="2" customWidth="1"/>
    <col min="7" max="7" width="12.140625" style="2" customWidth="1"/>
    <col min="8" max="8" width="13.8515625" style="2" customWidth="1"/>
    <col min="9" max="9" width="14.57421875" style="2" customWidth="1"/>
    <col min="10" max="16384" width="9.140625" style="2" customWidth="1"/>
  </cols>
  <sheetData>
    <row r="3" spans="2:9" ht="12.75">
      <c r="B3" s="30" t="s">
        <v>8</v>
      </c>
      <c r="C3" s="1"/>
      <c r="D3" s="1"/>
      <c r="E3" s="1"/>
      <c r="F3" s="1"/>
      <c r="G3" s="1"/>
      <c r="H3" s="1"/>
      <c r="I3" s="1"/>
    </row>
    <row r="4" spans="2:9" ht="12.75">
      <c r="B4" s="30" t="s">
        <v>92</v>
      </c>
      <c r="C4" s="1"/>
      <c r="D4" s="1"/>
      <c r="E4" s="1"/>
      <c r="F4" s="1"/>
      <c r="G4" s="1"/>
      <c r="H4" s="1"/>
      <c r="I4" s="1"/>
    </row>
    <row r="5" spans="2:9" ht="12.75">
      <c r="B5" s="30" t="s">
        <v>143</v>
      </c>
      <c r="C5" s="1"/>
      <c r="D5" s="1"/>
      <c r="E5" s="1"/>
      <c r="F5" s="1"/>
      <c r="G5" s="1"/>
      <c r="H5" s="1"/>
      <c r="I5" s="1"/>
    </row>
    <row r="6" ht="16.5" customHeight="1"/>
    <row r="7" spans="2:9" ht="12.75">
      <c r="B7" s="8"/>
      <c r="C7" s="3"/>
      <c r="D7" s="3" t="s">
        <v>42</v>
      </c>
      <c r="E7" s="3"/>
      <c r="F7" s="3"/>
      <c r="G7" s="3"/>
      <c r="H7" s="3"/>
      <c r="I7" s="3"/>
    </row>
    <row r="8" spans="2:9" ht="12.75">
      <c r="B8" s="32"/>
      <c r="C8" s="3" t="s">
        <v>40</v>
      </c>
      <c r="D8" s="3" t="s">
        <v>50</v>
      </c>
      <c r="E8" s="3"/>
      <c r="F8" s="3"/>
      <c r="G8" s="3"/>
      <c r="H8" s="3" t="s">
        <v>43</v>
      </c>
      <c r="I8" s="3"/>
    </row>
    <row r="9" spans="2:9" ht="12.75">
      <c r="B9" s="9"/>
      <c r="C9" s="3" t="s">
        <v>41</v>
      </c>
      <c r="D9" s="3" t="s">
        <v>41</v>
      </c>
      <c r="E9" s="3" t="s">
        <v>75</v>
      </c>
      <c r="F9" s="3" t="s">
        <v>76</v>
      </c>
      <c r="G9" s="3" t="s">
        <v>77</v>
      </c>
      <c r="H9" s="3" t="s">
        <v>44</v>
      </c>
      <c r="I9" s="3" t="s">
        <v>45</v>
      </c>
    </row>
    <row r="10" spans="2:9" ht="12.75">
      <c r="B10" s="8"/>
      <c r="C10" s="3" t="s">
        <v>13</v>
      </c>
      <c r="D10" s="3" t="s">
        <v>13</v>
      </c>
      <c r="E10" s="3"/>
      <c r="F10" s="3"/>
      <c r="G10" s="3"/>
      <c r="H10" s="3" t="s">
        <v>13</v>
      </c>
      <c r="I10" s="3" t="s">
        <v>13</v>
      </c>
    </row>
    <row r="11" ht="18.75" customHeight="1"/>
    <row r="12" spans="2:9" ht="12.75">
      <c r="B12" s="2" t="s">
        <v>94</v>
      </c>
      <c r="C12" s="5">
        <v>19999998</v>
      </c>
      <c r="D12" s="5">
        <v>8233752</v>
      </c>
      <c r="E12" s="5">
        <v>0</v>
      </c>
      <c r="F12" s="5">
        <v>0</v>
      </c>
      <c r="G12" s="5">
        <v>0</v>
      </c>
      <c r="H12" s="5">
        <v>-352656151</v>
      </c>
      <c r="I12" s="5">
        <v>-324422401</v>
      </c>
    </row>
    <row r="13" spans="3:9" ht="12.75">
      <c r="C13" s="5"/>
      <c r="D13" s="5"/>
      <c r="E13" s="5"/>
      <c r="F13" s="5"/>
      <c r="G13" s="5"/>
      <c r="H13" s="5"/>
      <c r="I13" s="5"/>
    </row>
    <row r="14" spans="2:9" ht="12.75">
      <c r="B14" s="2" t="s">
        <v>93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-59759795</v>
      </c>
      <c r="I14" s="5">
        <v>-59759795</v>
      </c>
    </row>
    <row r="15" spans="3:9" ht="12.75">
      <c r="C15" s="6"/>
      <c r="D15" s="6"/>
      <c r="E15" s="6"/>
      <c r="F15" s="6"/>
      <c r="G15" s="6"/>
      <c r="H15" s="6"/>
      <c r="I15" s="6"/>
    </row>
    <row r="16" spans="2:9" ht="19.5" customHeight="1">
      <c r="B16" s="2" t="s">
        <v>95</v>
      </c>
      <c r="C16" s="20">
        <f aca="true" t="shared" si="0" ref="C16:H16">SUM(C12:C14)</f>
        <v>19999998</v>
      </c>
      <c r="D16" s="20">
        <f t="shared" si="0"/>
        <v>8233752</v>
      </c>
      <c r="E16" s="20">
        <f t="shared" si="0"/>
        <v>0</v>
      </c>
      <c r="F16" s="20">
        <f t="shared" si="0"/>
        <v>0</v>
      </c>
      <c r="G16" s="20">
        <f t="shared" si="0"/>
        <v>0</v>
      </c>
      <c r="H16" s="20">
        <f t="shared" si="0"/>
        <v>-412415946</v>
      </c>
      <c r="I16" s="20">
        <f>SUM(C16:H16)</f>
        <v>-384182196</v>
      </c>
    </row>
    <row r="18" spans="2:9" ht="12.75">
      <c r="B18" s="2" t="s">
        <v>78</v>
      </c>
      <c r="C18" s="26">
        <v>210265947</v>
      </c>
      <c r="D18" s="26">
        <v>0</v>
      </c>
      <c r="E18" s="26">
        <v>113652404</v>
      </c>
      <c r="F18" s="26">
        <v>68197111</v>
      </c>
      <c r="G18" s="26">
        <v>18941419</v>
      </c>
      <c r="H18" s="26">
        <v>0</v>
      </c>
      <c r="I18" s="20">
        <f>SUM(C18:H18)</f>
        <v>411056881</v>
      </c>
    </row>
    <row r="19" spans="3:9" ht="12.75">
      <c r="C19" s="26"/>
      <c r="D19" s="26"/>
      <c r="E19" s="26"/>
      <c r="F19" s="26"/>
      <c r="G19" s="26"/>
      <c r="H19" s="26"/>
      <c r="I19" s="20"/>
    </row>
    <row r="20" spans="2:9" ht="12.75">
      <c r="B20" s="2" t="s">
        <v>106</v>
      </c>
      <c r="C20" s="26">
        <v>6313806</v>
      </c>
      <c r="D20" s="26"/>
      <c r="E20" s="26"/>
      <c r="F20" s="26"/>
      <c r="G20" s="26">
        <v>-6313806</v>
      </c>
      <c r="H20" s="26"/>
      <c r="I20" s="20">
        <f>SUM(C20:H20)</f>
        <v>0</v>
      </c>
    </row>
    <row r="21" spans="3:9" ht="12.75">
      <c r="C21" s="26"/>
      <c r="D21" s="26"/>
      <c r="E21" s="26"/>
      <c r="F21" s="26"/>
      <c r="G21" s="26"/>
      <c r="H21" s="26"/>
      <c r="I21" s="26"/>
    </row>
    <row r="22" spans="2:9" ht="12.75">
      <c r="B22" s="2" t="s">
        <v>96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f>+Income!E46</f>
        <v>31398025</v>
      </c>
      <c r="I22" s="20">
        <f>SUM(C22:H22)</f>
        <v>31398025</v>
      </c>
    </row>
    <row r="23" spans="3:9" ht="12.75">
      <c r="C23" s="26"/>
      <c r="D23" s="26"/>
      <c r="E23" s="26"/>
      <c r="F23" s="26"/>
      <c r="G23" s="26"/>
      <c r="H23" s="26"/>
      <c r="I23" s="20"/>
    </row>
    <row r="24" spans="2:9" ht="12.75">
      <c r="B24" s="2" t="s">
        <v>109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-1333967</v>
      </c>
      <c r="I24" s="20">
        <f>SUM(C24:H24)</f>
        <v>-1333967</v>
      </c>
    </row>
    <row r="26" spans="2:9" ht="18.75" customHeight="1" thickBot="1">
      <c r="B26" s="2" t="s">
        <v>140</v>
      </c>
      <c r="C26" s="25">
        <f>SUM(C16:C24)</f>
        <v>236579751</v>
      </c>
      <c r="D26" s="25">
        <f aca="true" t="shared" si="1" ref="D26:I26">SUM(D16:D24)</f>
        <v>8233752</v>
      </c>
      <c r="E26" s="25">
        <f t="shared" si="1"/>
        <v>113652404</v>
      </c>
      <c r="F26" s="25">
        <f t="shared" si="1"/>
        <v>68197111</v>
      </c>
      <c r="G26" s="25">
        <f t="shared" si="1"/>
        <v>12627613</v>
      </c>
      <c r="H26" s="25">
        <f t="shared" si="1"/>
        <v>-382351888</v>
      </c>
      <c r="I26" s="25">
        <f t="shared" si="1"/>
        <v>56938743</v>
      </c>
    </row>
    <row r="27" ht="13.5" thickTop="1"/>
    <row r="28" ht="12.75">
      <c r="B28" s="7"/>
    </row>
    <row r="29" ht="12.75">
      <c r="B29" s="7" t="s">
        <v>79</v>
      </c>
    </row>
    <row r="30" ht="12.75">
      <c r="B30" s="7"/>
    </row>
    <row r="31" ht="12.75">
      <c r="B31" s="7"/>
    </row>
    <row r="32" ht="12.75">
      <c r="B32" s="7" t="s">
        <v>111</v>
      </c>
    </row>
    <row r="35" ht="12.75">
      <c r="H35" s="26">
        <f>+BalSheet!C44</f>
        <v>-382351888</v>
      </c>
    </row>
    <row r="37" ht="12.75">
      <c r="H37" s="39">
        <f>H35-H26</f>
        <v>0</v>
      </c>
    </row>
    <row r="38" ht="12.75">
      <c r="H38" s="39">
        <f>H37/2</f>
        <v>0</v>
      </c>
    </row>
  </sheetData>
  <printOptions/>
  <pageMargins left="0.15748031496062992" right="0.1968503937007874" top="1.1811023622047245" bottom="0.984251968503937" header="0.5118110236220472" footer="0.5118110236220472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51"/>
  <sheetViews>
    <sheetView tabSelected="1" zoomScaleSheetLayoutView="100" workbookViewId="0" topLeftCell="B36">
      <selection activeCell="D49" sqref="D49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140625" style="5" customWidth="1"/>
    <col min="5" max="16384" width="9.140625" style="5" customWidth="1"/>
  </cols>
  <sheetData>
    <row r="2" ht="12.75">
      <c r="B2" s="11" t="s">
        <v>8</v>
      </c>
    </row>
    <row r="3" spans="2:4" ht="12.75">
      <c r="B3" s="11" t="s">
        <v>110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27</v>
      </c>
      <c r="D5" s="12" t="s">
        <v>99</v>
      </c>
    </row>
    <row r="6" spans="3:4" ht="12.75">
      <c r="C6" s="12" t="s">
        <v>101</v>
      </c>
      <c r="D6" s="12" t="s">
        <v>100</v>
      </c>
    </row>
    <row r="7" spans="3:4" ht="12.75">
      <c r="C7" s="12" t="s">
        <v>139</v>
      </c>
      <c r="D7" s="12" t="s">
        <v>52</v>
      </c>
    </row>
    <row r="8" spans="3:4" ht="12.75">
      <c r="C8" s="12" t="s">
        <v>7</v>
      </c>
      <c r="D8" s="12" t="s">
        <v>13</v>
      </c>
    </row>
    <row r="10" spans="2:4" ht="12.75">
      <c r="B10" s="5" t="s">
        <v>51</v>
      </c>
      <c r="C10" s="5">
        <f>143052847-25000000</f>
        <v>118052847</v>
      </c>
      <c r="D10" s="5">
        <v>219210741</v>
      </c>
    </row>
    <row r="12" spans="2:4" ht="12.75">
      <c r="B12" s="5" t="s">
        <v>28</v>
      </c>
      <c r="C12" s="5">
        <f>35000000-7000000-3000000+5000000</f>
        <v>30000000</v>
      </c>
      <c r="D12" s="5">
        <v>49803935</v>
      </c>
    </row>
    <row r="14" spans="2:4" ht="12.75">
      <c r="B14" s="5" t="s">
        <v>69</v>
      </c>
      <c r="C14" s="5">
        <v>9942022</v>
      </c>
      <c r="D14" s="5">
        <v>21540005</v>
      </c>
    </row>
    <row r="16" spans="2:4" ht="12.75">
      <c r="B16" s="5" t="s">
        <v>29</v>
      </c>
      <c r="C16" s="13"/>
      <c r="D16" s="14"/>
    </row>
    <row r="17" spans="2:4" ht="12.75">
      <c r="B17" s="5" t="s">
        <v>30</v>
      </c>
      <c r="C17" s="15">
        <f>34123986-750000</f>
        <v>33373986</v>
      </c>
      <c r="D17" s="16">
        <v>3563029</v>
      </c>
    </row>
    <row r="18" spans="2:4" ht="12.75">
      <c r="B18" s="5" t="s">
        <v>31</v>
      </c>
      <c r="C18" s="15">
        <v>52362371</v>
      </c>
      <c r="D18" s="16">
        <v>18766281</v>
      </c>
    </row>
    <row r="19" spans="2:4" ht="12.75">
      <c r="B19" s="5" t="s">
        <v>134</v>
      </c>
      <c r="C19" s="15">
        <v>8282732</v>
      </c>
      <c r="D19" s="16">
        <v>9610524</v>
      </c>
    </row>
    <row r="20" spans="2:4" ht="12.75">
      <c r="B20" s="5" t="s">
        <v>135</v>
      </c>
      <c r="C20" s="15">
        <f>16731236-1900000-250000-50000-186142</f>
        <v>14345094</v>
      </c>
      <c r="D20" s="16">
        <v>21861031</v>
      </c>
    </row>
    <row r="21" spans="2:4" ht="12.75">
      <c r="B21" s="5" t="s">
        <v>32</v>
      </c>
      <c r="C21" s="15">
        <v>0</v>
      </c>
      <c r="D21" s="16">
        <v>18159</v>
      </c>
    </row>
    <row r="22" spans="2:4" ht="12.75">
      <c r="B22" s="5" t="s">
        <v>33</v>
      </c>
      <c r="C22" s="15">
        <f>3229753-4+138251</f>
        <v>3368000</v>
      </c>
      <c r="D22" s="16">
        <v>5943958</v>
      </c>
    </row>
    <row r="23" spans="3:4" ht="12.75">
      <c r="C23" s="17">
        <f>SUM(C17:C22)</f>
        <v>111732183</v>
      </c>
      <c r="D23" s="18">
        <f>SUM(D17:D22)</f>
        <v>59762982</v>
      </c>
    </row>
    <row r="24" spans="3:4" ht="12.75">
      <c r="C24" s="15"/>
      <c r="D24" s="16"/>
    </row>
    <row r="25" spans="2:4" ht="12.75">
      <c r="B25" s="5" t="s">
        <v>34</v>
      </c>
      <c r="C25" s="15"/>
      <c r="D25" s="16"/>
    </row>
    <row r="26" spans="2:4" ht="12.75">
      <c r="B26" s="5" t="s">
        <v>35</v>
      </c>
      <c r="C26" s="15">
        <v>35000000</v>
      </c>
      <c r="D26" s="16">
        <v>399430899</v>
      </c>
    </row>
    <row r="27" spans="2:4" ht="12.75">
      <c r="B27" s="5" t="s">
        <v>136</v>
      </c>
      <c r="C27" s="15">
        <f>4879101+589408</f>
        <v>5468509</v>
      </c>
      <c r="D27" s="16">
        <v>3283990</v>
      </c>
    </row>
    <row r="28" spans="2:4" ht="12.75">
      <c r="B28" s="5" t="s">
        <v>137</v>
      </c>
      <c r="C28" s="15">
        <f>17460223-C27-40141</f>
        <v>11951573</v>
      </c>
      <c r="D28" s="16">
        <v>331678013</v>
      </c>
    </row>
    <row r="29" spans="2:4" ht="12.75">
      <c r="B29" s="5" t="s">
        <v>36</v>
      </c>
      <c r="C29" s="15">
        <f>199800-89272</f>
        <v>110528</v>
      </c>
      <c r="D29" s="16">
        <v>106957</v>
      </c>
    </row>
    <row r="30" spans="3:4" ht="12.75">
      <c r="C30" s="15"/>
      <c r="D30" s="16"/>
    </row>
    <row r="31" spans="3:4" ht="12.75">
      <c r="C31" s="18">
        <f>SUM(C26:C29)</f>
        <v>52530610</v>
      </c>
      <c r="D31" s="18">
        <f>SUM(D26:D29)</f>
        <v>734499859</v>
      </c>
    </row>
    <row r="33" spans="2:4" ht="12.75">
      <c r="B33" s="5" t="s">
        <v>103</v>
      </c>
      <c r="C33" s="5">
        <f>C23-C31</f>
        <v>59201573</v>
      </c>
      <c r="D33" s="5">
        <f>D23-D31</f>
        <v>-674736877</v>
      </c>
    </row>
    <row r="34" spans="3:4" ht="18.75" customHeight="1" thickBot="1">
      <c r="C34" s="10">
        <f>C10+C12+C14+C33</f>
        <v>217196442</v>
      </c>
      <c r="D34" s="10">
        <f>D10+D12+D14+D33</f>
        <v>-384182196</v>
      </c>
    </row>
    <row r="35" ht="13.5" thickTop="1"/>
    <row r="37" ht="12.75">
      <c r="B37" s="5" t="s">
        <v>98</v>
      </c>
    </row>
    <row r="38" spans="2:4" ht="12.75">
      <c r="B38" s="5" t="s">
        <v>37</v>
      </c>
      <c r="C38" s="5">
        <v>236579751</v>
      </c>
      <c r="D38" s="5">
        <v>19999998</v>
      </c>
    </row>
    <row r="39" spans="2:4" ht="12.75">
      <c r="B39" s="5" t="s">
        <v>72</v>
      </c>
      <c r="C39" s="5">
        <v>113652404</v>
      </c>
      <c r="D39" s="5">
        <v>0</v>
      </c>
    </row>
    <row r="40" spans="2:4" ht="12.75">
      <c r="B40" s="5" t="s">
        <v>73</v>
      </c>
      <c r="C40" s="5">
        <v>68197111</v>
      </c>
      <c r="D40" s="5">
        <v>0</v>
      </c>
    </row>
    <row r="41" spans="2:4" ht="12.75">
      <c r="B41" s="5" t="s">
        <v>74</v>
      </c>
      <c r="C41" s="6">
        <v>12627613</v>
      </c>
      <c r="D41" s="6">
        <v>0</v>
      </c>
    </row>
    <row r="42" spans="3:4" ht="12.75">
      <c r="C42" s="5">
        <f>SUM(C38:C41)</f>
        <v>431056879</v>
      </c>
      <c r="D42" s="5">
        <f>SUM(D38:D41)</f>
        <v>19999998</v>
      </c>
    </row>
    <row r="43" spans="2:4" ht="12.75">
      <c r="B43" s="5" t="s">
        <v>38</v>
      </c>
      <c r="C43" s="5">
        <v>8233752</v>
      </c>
      <c r="D43" s="5">
        <v>8233752</v>
      </c>
    </row>
    <row r="44" spans="2:4" ht="12.75">
      <c r="B44" s="5" t="s">
        <v>39</v>
      </c>
      <c r="C44" s="6">
        <f>-383694202-1900000+5000000-750000+138251-199800-589408-250000-50000-186142+89272+40141</f>
        <v>-382351888</v>
      </c>
      <c r="D44" s="6">
        <v>-412415946</v>
      </c>
    </row>
    <row r="45" spans="3:4" ht="12.75">
      <c r="C45" s="5">
        <f>SUM(C42:C44)</f>
        <v>56938743</v>
      </c>
      <c r="D45" s="5">
        <f>SUM(D42:D44)</f>
        <v>-384182196</v>
      </c>
    </row>
    <row r="46" spans="2:4" ht="12.75">
      <c r="B46" s="5" t="s">
        <v>97</v>
      </c>
      <c r="C46" s="5">
        <v>160257699</v>
      </c>
      <c r="D46" s="5">
        <v>0</v>
      </c>
    </row>
    <row r="47" spans="3:256" ht="16.5" customHeight="1" thickBot="1">
      <c r="C47" s="10">
        <f>SUM(C45:C46)</f>
        <v>217196442</v>
      </c>
      <c r="D47" s="10">
        <f>SUM(D45:D46)</f>
        <v>-384182196</v>
      </c>
      <c r="IV47" s="5">
        <f>SUM(A47:IU47)</f>
        <v>-166985754</v>
      </c>
    </row>
    <row r="48" spans="3:4" ht="16.5" customHeight="1" thickTop="1">
      <c r="C48" s="20"/>
      <c r="D48" s="20"/>
    </row>
    <row r="49" spans="2:4" ht="16.5" customHeight="1">
      <c r="B49" s="5" t="s">
        <v>115</v>
      </c>
      <c r="C49" s="38">
        <f>(C45-C14)/C38</f>
        <v>0.198650648677029</v>
      </c>
      <c r="D49" s="38">
        <f>(D45-D14)/D42</f>
        <v>-20.286112078611207</v>
      </c>
    </row>
    <row r="51" ht="12.75">
      <c r="B51" s="19" t="s">
        <v>111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Wong Kooi Vee</cp:lastModifiedBy>
  <cp:lastPrinted>2004-02-26T07:28:38Z</cp:lastPrinted>
  <dcterms:created xsi:type="dcterms:W3CDTF">2002-11-14T01:39:00Z</dcterms:created>
  <dcterms:modified xsi:type="dcterms:W3CDTF">2004-02-26T07:31:33Z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239557938</vt:i4>
  </property>
  <property fmtid="{D5CDD505-2E9C-101B-9397-08002B2CF9AE}" pid="3" name="_EmailSubject">
    <vt:lpwstr/>
  </property>
  <property fmtid="{D5CDD505-2E9C-101B-9397-08002B2CF9AE}" pid="4" name="_AuthorEmail">
    <vt:lpwstr>bens@tm.net.my</vt:lpwstr>
  </property>
  <property fmtid="{D5CDD505-2E9C-101B-9397-08002B2CF9AE}" pid="5" name="_AuthorEmailDisplayName">
    <vt:lpwstr>benjamin</vt:lpwstr>
  </property>
  <property fmtid="{D5CDD505-2E9C-101B-9397-08002B2CF9AE}" pid="6" name="_PreviousAdHocReviewCycleID">
    <vt:i4>315249763</vt:i4>
  </property>
</Properties>
</file>